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<sst xmlns="http://schemas.openxmlformats.org/spreadsheetml/2006/main" count="1626" uniqueCount="268">
  <si>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</si>
  <si>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</si>
  <si>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</si>
  <si>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</si>
  <si>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</si>
  <si>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</si>
  <si>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</si>
  <si>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</si>
  <si>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</si>
  <si>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</si>
  <si>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</si>
  <si>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</si>
  <si>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</si>
  <si>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</si>
  <si>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</si>
  <si>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</si>
  <si>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</si>
  <si>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</si>
  <si>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</si>
  <si>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</si>
  <si>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</si>
  <si>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</si>
  <si>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</si>
  <si>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</si>
  <si>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</si>
  <si>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</si>
  <si>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</si>
  <si>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</si>
  <si>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</si>
  <si>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</si>
  <si>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</si>
  <si>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</si>
  <si>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</si>
  <si>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</si>
  <si>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</si>
  <si>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</si>
  <si>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</si>
  <si>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</si>
  <si>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</si>
  <si>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</si>
  <si>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</si>
  <si>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</si>
  <si>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</si>
  <si>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</si>
  <si>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</si>
  <si>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</si>
  <si>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</si>
  <si>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</si>
  <si>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</si>
  <si>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</si>
  <si>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</si>
  <si>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</si>
  <si>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</si>
  <si>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</si>
  <si>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</si>
  <si>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</si>
  <si>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</si>
  <si>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</si>
  <si>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</si>
  <si>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</si>
  <si>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</si>
  <si>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</si>
  <si>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</si>
  <si>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</si>
  <si>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</si>
  <si>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</si>
  <si>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</si>
  <si>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</si>
  <si>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</si>
  <si>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</si>
  <si>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</si>
  <si>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</si>
  <si>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</si>
  <si>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</si>
  <si>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</si>
  <si>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</si>
  <si>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</si>
  <si>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</si>
  <si>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</si>
  <si>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</si>
  <si>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</si>
  <si>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</si>
  <si>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</si>
  <si>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</si>
  <si>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</si>
  <si>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</si>
  <si>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</si>
  <si>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</si>
  <si>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</si>
  <si>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</si>
  <si>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</si>
  <si>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</si>
  <si>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</si>
  <si>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</si>
  <si>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</si>
  <si>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</si>
  <si>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</si>
  <si>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</si>
  <si>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</si>
  <si>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</si>
  <si>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</si>
  <si>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</si>
  <si>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</si>
  <si>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</si>
  <si>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</si>
  <si>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</si>
  <si>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</si>
  <si>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</si>
  <si>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</si>
  <si>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</si>
  <si>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</si>
  <si>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</si>
  <si>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</si>
  <si>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</si>
  <si>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</si>
  <si>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</si>
  <si>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</si>
  <si>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</si>
  <si>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</si>
  <si>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</si>
  <si>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</si>
  <si>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</si>
  <si>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</si>
  <si>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</si>
  <si>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</si>
  <si>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</si>
  <si>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</si>
  <si>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</si>
  <si>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</si>
  <si>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</si>
  <si>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</si>
  <si>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</si>
  <si>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</si>
  <si>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</si>
  <si>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</si>
  <si>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</si>
  <si>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</si>
  <si>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</si>
  <si>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</si>
  <si>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</si>
  <si>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</si>
  <si>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</si>
  <si>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</si>
  <si>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</si>
  <si>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</si>
  <si>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</si>
  <si>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</si>
  <si>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</si>
  <si>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</si>
  <si>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</si>
  <si>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</si>
  <si>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</si>
  <si>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</si>
  <si>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</si>
  <si>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</si>
  <si>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</si>
  <si>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</si>
  <si>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</si>
  <si>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</si>
  <si>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</si>
  <si>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</si>
  <si>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</si>
  <si>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</si>
  <si>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</si>
  <si>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</si>
  <si>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</si>
  <si>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</si>
  <si>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</si>
  <si>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</si>
  <si>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</si>
  <si>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</si>
  <si>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</si>
  <si>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</si>
  <si>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</si>
  <si>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</si>
  <si>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</si>
  <si>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</si>
  <si>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</si>
  <si>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</si>
  <si>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</si>
  <si>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</si>
  <si>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</si>
  <si>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</si>
  <si>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</si>
  <si>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</si>
  <si>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</si>
  <si>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</si>
  <si>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</si>
  <si>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</si>
  <si>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</si>
  <si>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</si>
  <si>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</si>
  <si>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</si>
  <si>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</si>
  <si>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</si>
  <si>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</si>
  <si>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</si>
  <si>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</si>
  <si>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</si>
  <si>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</si>
  <si>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</si>
  <si>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</si>
  <si>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</si>
  <si>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</si>
  <si>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</si>
  <si>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</si>
  <si>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</si>
  <si>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</si>
  <si>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</si>
  <si>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</si>
  <si>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</si>
  <si>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</si>
  <si>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</si>
  <si>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</si>
  <si>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</si>
  <si>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</si>
  <si>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</si>
  <si>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</si>
  <si>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</si>
  <si>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</si>
  <si>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</si>
  <si>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</si>
  <si>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</si>
  <si>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</si>
  <si>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</si>
  <si>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</si>
  <si>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</si>
  <si>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</si>
  <si>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</si>
  <si>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</si>
  <si>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</si>
  <si>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</si>
  <si>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</si>
  <si>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</si>
  <si>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</si>
  <si>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</si>
  <si>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</si>
  <si>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</si>
  <si>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</si>
  <si>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</si>
  <si>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</si>
  <si>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</si>
  <si>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</si>
  <si>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</si>
  <si>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</si>
  <si>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</si>
  <si>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</si>
  <si>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</si>
  <si>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</si>
  <si>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</si>
  <si>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</si>
  <si>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</si>
  <si>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</si>
  <si>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</si>
  <si>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</si>
  <si>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</si>
  <si>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</si>
  <si>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</si>
  <si>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</si>
  <si>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</si>
  <si>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</si>
  <si>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</si>
  <si>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</si>
  <si>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</si>
  <si>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</si>
  <si>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</si>
  <si>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</si>
  <si>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20.08.14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</si>
</sst>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25423613.23999999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9" sqref="G14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261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259</v>
      </c>
      <c r="H4" s="189" t="s">
        <v>260</v>
      </c>
      <c r="I4" s="185" t="s">
        <v>188</v>
      </c>
      <c r="J4" s="191" t="s">
        <v>189</v>
      </c>
      <c r="K4" s="167" t="s">
        <v>264</v>
      </c>
      <c r="L4" s="168"/>
      <c r="M4" s="204"/>
      <c r="N4" s="183" t="s">
        <v>267</v>
      </c>
      <c r="O4" s="185" t="s">
        <v>136</v>
      </c>
      <c r="P4" s="185" t="s">
        <v>135</v>
      </c>
      <c r="Q4" s="167" t="s">
        <v>265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258</v>
      </c>
      <c r="F5" s="207"/>
      <c r="G5" s="188"/>
      <c r="H5" s="190"/>
      <c r="I5" s="186"/>
      <c r="J5" s="192"/>
      <c r="K5" s="180"/>
      <c r="L5" s="181"/>
      <c r="M5" s="151" t="s">
        <v>262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292615.0200000001</v>
      </c>
      <c r="G8" s="22">
        <f aca="true" t="shared" si="0" ref="G8:G30">F8-E8</f>
        <v>-19398.369999999937</v>
      </c>
      <c r="H8" s="51">
        <f>F8/E8*100</f>
        <v>93.782840537709</v>
      </c>
      <c r="I8" s="36">
        <f aca="true" t="shared" si="1" ref="I8:I17">F8-D8</f>
        <v>-195861.2799999999</v>
      </c>
      <c r="J8" s="36">
        <f aca="true" t="shared" si="2" ref="J8:J14">F8/D8*100</f>
        <v>59.903626849450035</v>
      </c>
      <c r="K8" s="36">
        <f>F8-306776.9</f>
        <v>-14161.879999999946</v>
      </c>
      <c r="L8" s="136">
        <f>F8/306776.9</f>
        <v>0.953836550274809</v>
      </c>
      <c r="M8" s="22">
        <f>M10+M19+M33+M56+M68+M30</f>
        <v>40778.67999999999</v>
      </c>
      <c r="N8" s="22">
        <f>N10+N19+N33+N56+N68+N30</f>
        <v>23489.74000000001</v>
      </c>
      <c r="O8" s="36">
        <f aca="true" t="shared" si="3" ref="O8:O71">N8-M8</f>
        <v>-17288.939999999984</v>
      </c>
      <c r="P8" s="36">
        <f>F8/M8*100</f>
        <v>717.5686412605806</v>
      </c>
      <c r="Q8" s="36">
        <f>N8-38892.4</f>
        <v>-15402.659999999993</v>
      </c>
      <c r="R8" s="134">
        <f>N8/38892.4</f>
        <v>0.6039673560901361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238917.82</v>
      </c>
      <c r="G9" s="22">
        <f t="shared" si="0"/>
        <v>238917.82</v>
      </c>
      <c r="H9" s="20"/>
      <c r="I9" s="56">
        <f t="shared" si="1"/>
        <v>-148095.38</v>
      </c>
      <c r="J9" s="56">
        <f t="shared" si="2"/>
        <v>61.73376515322991</v>
      </c>
      <c r="K9" s="56"/>
      <c r="L9" s="135"/>
      <c r="M9" s="20">
        <f>M10+M17</f>
        <v>33764.899999999994</v>
      </c>
      <c r="N9" s="20">
        <f>N10+N17</f>
        <v>21032.20000000001</v>
      </c>
      <c r="O9" s="36">
        <f t="shared" si="3"/>
        <v>-12732.699999999983</v>
      </c>
      <c r="P9" s="56">
        <f>F9/M9*100</f>
        <v>707.5922629713106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238917.82</v>
      </c>
      <c r="G10" s="49">
        <f t="shared" si="0"/>
        <v>-16218.179999999993</v>
      </c>
      <c r="H10" s="40">
        <f aca="true" t="shared" si="4" ref="H10:H17">F10/E10*100</f>
        <v>93.64331964128935</v>
      </c>
      <c r="I10" s="56">
        <f t="shared" si="1"/>
        <v>-148095.38</v>
      </c>
      <c r="J10" s="56">
        <f t="shared" si="2"/>
        <v>61.73376515322991</v>
      </c>
      <c r="K10" s="141">
        <f>F10-242707.3</f>
        <v>-3789.4799999999814</v>
      </c>
      <c r="L10" s="142">
        <f>F10/242707.3</f>
        <v>0.9843866253713837</v>
      </c>
      <c r="M10" s="40">
        <f>E10-липень!E10</f>
        <v>33764.899999999994</v>
      </c>
      <c r="N10" s="40">
        <f>F10-липень!F10</f>
        <v>21032.20000000001</v>
      </c>
      <c r="O10" s="53">
        <f t="shared" si="3"/>
        <v>-12732.699999999983</v>
      </c>
      <c r="P10" s="56">
        <f aca="true" t="shared" si="5" ref="P10:P17">N10/M10*100</f>
        <v>62.29012969089207</v>
      </c>
      <c r="Q10" s="141">
        <f>N10-31381.5</f>
        <v>-10349.299999999988</v>
      </c>
      <c r="R10" s="142">
        <f>N10/31381.5</f>
        <v>0.6702101556649622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50.22</v>
      </c>
      <c r="G19" s="49">
        <f t="shared" si="0"/>
        <v>-995.3799999999999</v>
      </c>
      <c r="H19" s="40">
        <f aca="true" t="shared" si="6" ref="H19:H29">F19/E19*100</f>
        <v>4.802983932670238</v>
      </c>
      <c r="I19" s="56">
        <f aca="true" t="shared" si="7" ref="I19:I29">F19-D19</f>
        <v>-949.78</v>
      </c>
      <c r="J19" s="56">
        <f aca="true" t="shared" si="8" ref="J19:J29">F19/D19*100</f>
        <v>5.022</v>
      </c>
      <c r="K19" s="56">
        <f>F19-6117.2</f>
        <v>-6066.98</v>
      </c>
      <c r="L19" s="135">
        <f>F19/6117.2</f>
        <v>0.008209638396652064</v>
      </c>
      <c r="M19" s="40">
        <f>E19-липень!E19</f>
        <v>12</v>
      </c>
      <c r="N19" s="40">
        <f>F19-липень!F19</f>
        <v>-299.15999999999997</v>
      </c>
      <c r="O19" s="53">
        <f t="shared" si="3"/>
        <v>-311.15999999999997</v>
      </c>
      <c r="P19" s="56">
        <f aca="true" t="shared" si="9" ref="P19:P29">N19/M19*100</f>
        <v>-2492.9999999999995</v>
      </c>
      <c r="Q19" s="56">
        <f>N19-74.4</f>
        <v>-373.55999999999995</v>
      </c>
      <c r="R19" s="135">
        <f>N19/74.4</f>
        <v>-4.0209677419354835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550.64</v>
      </c>
      <c r="G29" s="49">
        <f t="shared" si="0"/>
        <v>-234.96000000000004</v>
      </c>
      <c r="H29" s="40">
        <f t="shared" si="6"/>
        <v>70.09164969450102</v>
      </c>
      <c r="I29" s="56">
        <f t="shared" si="7"/>
        <v>-379.36</v>
      </c>
      <c r="J29" s="56">
        <f t="shared" si="8"/>
        <v>59.20860215053764</v>
      </c>
      <c r="K29" s="148">
        <f>F29-2498.05</f>
        <v>-1947.4100000000003</v>
      </c>
      <c r="L29" s="149">
        <f>F29/2498.05</f>
        <v>0.2204279337883549</v>
      </c>
      <c r="M29" s="40">
        <f>E29-липень!E29</f>
        <v>52</v>
      </c>
      <c r="N29" s="40">
        <f>F29-липень!F29</f>
        <v>-300</v>
      </c>
      <c r="O29" s="148">
        <f t="shared" si="3"/>
        <v>-352</v>
      </c>
      <c r="P29" s="145">
        <f t="shared" si="9"/>
        <v>-576.9230769230769</v>
      </c>
      <c r="Q29" s="148">
        <f>N29-74.37</f>
        <v>-374.37</v>
      </c>
      <c r="R29" s="149">
        <f>N29/74.37</f>
        <v>-4.033884630899556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49379.75</v>
      </c>
      <c r="G33" s="49">
        <f aca="true" t="shared" si="14" ref="G33:G72">F33-E33</f>
        <v>-1921.0400000000009</v>
      </c>
      <c r="H33" s="40">
        <f aca="true" t="shared" si="15" ref="H33:H67">F33/E33*100</f>
        <v>96.25534031737133</v>
      </c>
      <c r="I33" s="56">
        <f>F33-D33</f>
        <v>-44186.25</v>
      </c>
      <c r="J33" s="56">
        <f aca="true" t="shared" si="16" ref="J33:J72">F33/D33*100</f>
        <v>52.7753136823205</v>
      </c>
      <c r="K33" s="141">
        <f>F33-53788.3</f>
        <v>-4408.550000000003</v>
      </c>
      <c r="L33" s="142">
        <f>F33/53788.3</f>
        <v>0.9180388671885893</v>
      </c>
      <c r="M33" s="40">
        <f>E33-липень!E33</f>
        <v>6439.68</v>
      </c>
      <c r="N33" s="40">
        <f>F33-липень!F33</f>
        <v>2277.5899999999965</v>
      </c>
      <c r="O33" s="53">
        <f t="shared" si="3"/>
        <v>-4162.090000000004</v>
      </c>
      <c r="P33" s="56">
        <f aca="true" t="shared" si="17" ref="P33:P67">N33/M33*100</f>
        <v>35.36806176704427</v>
      </c>
      <c r="Q33" s="141">
        <f>N33-6951.4</f>
        <v>-4673.810000000003</v>
      </c>
      <c r="R33" s="142">
        <f>N33/6951.4</f>
        <v>0.3276447909773566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36742.75</v>
      </c>
      <c r="G55" s="144">
        <f t="shared" si="14"/>
        <v>-1047.739999999998</v>
      </c>
      <c r="H55" s="146">
        <f t="shared" si="15"/>
        <v>97.22750353329634</v>
      </c>
      <c r="I55" s="145">
        <f t="shared" si="18"/>
        <v>-33523.25</v>
      </c>
      <c r="J55" s="145">
        <f t="shared" si="16"/>
        <v>52.29093729542026</v>
      </c>
      <c r="K55" s="148">
        <f>F55-38852.08</f>
        <v>-2109.3300000000017</v>
      </c>
      <c r="L55" s="149">
        <f>F55/38852.08</f>
        <v>0.9457086982215623</v>
      </c>
      <c r="M55" s="40">
        <f>E55-липень!E55</f>
        <v>4679.68</v>
      </c>
      <c r="N55" s="40">
        <f>F55-липень!F55</f>
        <v>1859.8499999999985</v>
      </c>
      <c r="O55" s="148">
        <f t="shared" si="3"/>
        <v>-2819.8300000000017</v>
      </c>
      <c r="P55" s="148">
        <f t="shared" si="17"/>
        <v>39.743102092450734</v>
      </c>
      <c r="Q55" s="163">
        <f>N55-5157.94</f>
        <v>-3298.090000000001</v>
      </c>
      <c r="R55" s="164">
        <f>N55/5157.94</f>
        <v>0.36057999899184534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f>0.36+4262.53</f>
        <v>4262.889999999999</v>
      </c>
      <c r="G56" s="49">
        <f t="shared" si="14"/>
        <v>-241.01000000000022</v>
      </c>
      <c r="H56" s="40">
        <f t="shared" si="15"/>
        <v>94.64885987699549</v>
      </c>
      <c r="I56" s="56">
        <f t="shared" si="18"/>
        <v>-2597.1100000000006</v>
      </c>
      <c r="J56" s="56">
        <f t="shared" si="16"/>
        <v>62.141253644314865</v>
      </c>
      <c r="K56" s="56">
        <f>F56-4138.3</f>
        <v>124.58999999999924</v>
      </c>
      <c r="L56" s="135">
        <f>F56/4138.3</f>
        <v>1.0301065654979096</v>
      </c>
      <c r="M56" s="40">
        <f>E56-липень!E56</f>
        <v>553.5999999999995</v>
      </c>
      <c r="N56" s="40">
        <f>F56-липень!F56</f>
        <v>479.11999999999944</v>
      </c>
      <c r="O56" s="53">
        <f t="shared" si="3"/>
        <v>-74.48000000000002</v>
      </c>
      <c r="P56" s="56">
        <f t="shared" si="17"/>
        <v>86.54624277456647</v>
      </c>
      <c r="Q56" s="56">
        <f>N56-484.9</f>
        <v>-5.780000000000541</v>
      </c>
      <c r="R56" s="135">
        <f>N56/484.9</f>
        <v>0.988080016498246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8397.44</v>
      </c>
      <c r="G74" s="50">
        <f aca="true" t="shared" si="24" ref="G74:G92">F74-E74</f>
        <v>-2202.0599999999995</v>
      </c>
      <c r="H74" s="51">
        <f aca="true" t="shared" si="25" ref="H74:H87">F74/E74*100</f>
        <v>79.22486909759895</v>
      </c>
      <c r="I74" s="36">
        <f aca="true" t="shared" si="26" ref="I74:I92">F74-D74</f>
        <v>-9960.859999999999</v>
      </c>
      <c r="J74" s="36">
        <f aca="true" t="shared" si="27" ref="J74:J92">F74/D74*100</f>
        <v>45.74192599532637</v>
      </c>
      <c r="K74" s="36">
        <f>F74-12962.5</f>
        <v>-4565.0599999999995</v>
      </c>
      <c r="L74" s="136">
        <f>F74/12962.5</f>
        <v>0.6478256509161042</v>
      </c>
      <c r="M74" s="22">
        <f>M77+M86+M88+M89+M94+M95+M96+M97+M99+M87+M104</f>
        <v>1620.5</v>
      </c>
      <c r="N74" s="22">
        <f>N77+N86+N88+N89+N94+N95+N96+N97+N99+N32+N104+N87+N103</f>
        <v>953.3000000000001</v>
      </c>
      <c r="O74" s="55">
        <f aca="true" t="shared" si="28" ref="O74:O92">N74-M74</f>
        <v>-667.1999999999999</v>
      </c>
      <c r="P74" s="36">
        <f>N74/M74*100</f>
        <v>58.827522369639006</v>
      </c>
      <c r="Q74" s="36">
        <f>N74-1702.6</f>
        <v>-749.2999999999998</v>
      </c>
      <c r="R74" s="136">
        <f>N74/1702.6</f>
        <v>0.5599083754258194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56">
        <f>F77-1694.5</f>
        <v>-1571.05</v>
      </c>
      <c r="L77" s="135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81.03</v>
      </c>
      <c r="G89" s="49">
        <f t="shared" si="24"/>
        <v>-32.97</v>
      </c>
      <c r="H89" s="40">
        <f>F89/E89*100</f>
        <v>71.07894736842105</v>
      </c>
      <c r="I89" s="56">
        <f t="shared" si="26"/>
        <v>-93.97</v>
      </c>
      <c r="J89" s="56">
        <f t="shared" si="27"/>
        <v>46.30285714285714</v>
      </c>
      <c r="K89" s="56">
        <f>F89-108.5</f>
        <v>-27.47</v>
      </c>
      <c r="L89" s="135">
        <f>F89/108.5</f>
        <v>0.7468202764976959</v>
      </c>
      <c r="M89" s="40">
        <f>E89-липень!E89</f>
        <v>15</v>
      </c>
      <c r="N89" s="40">
        <f>F89-липень!F89</f>
        <v>2.7900000000000063</v>
      </c>
      <c r="O89" s="53">
        <f t="shared" si="28"/>
        <v>-12.209999999999994</v>
      </c>
      <c r="P89" s="56">
        <f>N89/M89*100</f>
        <v>18.60000000000004</v>
      </c>
      <c r="Q89" s="56">
        <f>N89-14.5</f>
        <v>-11.709999999999994</v>
      </c>
      <c r="R89" s="135">
        <f>N89/14.5</f>
        <v>0.1924137931034487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603.95</v>
      </c>
      <c r="G96" s="49">
        <f t="shared" si="31"/>
        <v>-90.54999999999995</v>
      </c>
      <c r="H96" s="40">
        <f>F96/E96*100</f>
        <v>86.96184305255579</v>
      </c>
      <c r="I96" s="56">
        <f t="shared" si="32"/>
        <v>-596.05</v>
      </c>
      <c r="J96" s="56">
        <f>F96/D96*100</f>
        <v>50.329166666666666</v>
      </c>
      <c r="K96" s="56">
        <f>F96-693.4</f>
        <v>-89.44999999999993</v>
      </c>
      <c r="L96" s="135">
        <f>F96/693.4</f>
        <v>0.870997980963369</v>
      </c>
      <c r="M96" s="40">
        <f>E96-липень!E96</f>
        <v>90</v>
      </c>
      <c r="N96" s="40">
        <f>F96-липень!F96</f>
        <v>72.54000000000008</v>
      </c>
      <c r="O96" s="53">
        <f t="shared" si="33"/>
        <v>-17.459999999999923</v>
      </c>
      <c r="P96" s="56">
        <f>N96/M96*100</f>
        <v>80.60000000000008</v>
      </c>
      <c r="Q96" s="56">
        <f>N96-90.8</f>
        <v>-18.25999999999992</v>
      </c>
      <c r="R96" s="135">
        <f>N96/90.8</f>
        <v>0.7988986784140978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2614.6</v>
      </c>
      <c r="G99" s="49">
        <f t="shared" si="31"/>
        <v>17.59999999999991</v>
      </c>
      <c r="H99" s="40">
        <f>F99/E99*100</f>
        <v>100.67770504428186</v>
      </c>
      <c r="I99" s="56">
        <f t="shared" si="32"/>
        <v>-1958.1</v>
      </c>
      <c r="J99" s="56">
        <f>F99/D99*100</f>
        <v>57.178472237408975</v>
      </c>
      <c r="K99" s="56">
        <f>F99-2979.1</f>
        <v>-364.5</v>
      </c>
      <c r="L99" s="135">
        <f>F99/2979.1</f>
        <v>0.8776476116948072</v>
      </c>
      <c r="M99" s="40">
        <f>E99-липень!E99</f>
        <v>410</v>
      </c>
      <c r="N99" s="40">
        <f>F99-липень!F99</f>
        <v>268.50999999999976</v>
      </c>
      <c r="O99" s="53">
        <f t="shared" si="33"/>
        <v>-141.49000000000024</v>
      </c>
      <c r="P99" s="56">
        <f>N99/M99*100</f>
        <v>65.49024390243898</v>
      </c>
      <c r="Q99" s="56">
        <f>N99-355.4</f>
        <v>-86.89000000000021</v>
      </c>
      <c r="R99" s="135">
        <f>N99/355.4</f>
        <v>0.7555149127743381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610.4</v>
      </c>
      <c r="G102" s="144"/>
      <c r="H102" s="146"/>
      <c r="I102" s="145"/>
      <c r="J102" s="145"/>
      <c r="K102" s="148">
        <f>F102-421.2</f>
        <v>189.2</v>
      </c>
      <c r="L102" s="149">
        <f>F102/421.2</f>
        <v>1.449192782526116</v>
      </c>
      <c r="M102" s="40">
        <f>E102-липень!E102</f>
        <v>0</v>
      </c>
      <c r="N102" s="40">
        <f>F102-липень!F102</f>
        <v>140.5</v>
      </c>
      <c r="O102" s="53"/>
      <c r="P102" s="60"/>
      <c r="Q102" s="60">
        <f>N102-95.6</f>
        <v>44.900000000000006</v>
      </c>
      <c r="R102" s="138">
        <f>N102/95.6</f>
        <v>1.4696652719665273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-49.94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15.56</v>
      </c>
      <c r="G105" s="49">
        <f>F105-E105</f>
        <v>-5.639999999999999</v>
      </c>
      <c r="H105" s="40">
        <f>F105/E105*100</f>
        <v>73.39622641509435</v>
      </c>
      <c r="I105" s="56">
        <f t="shared" si="34"/>
        <v>-29.439999999999998</v>
      </c>
      <c r="J105" s="56">
        <f aca="true" t="shared" si="36" ref="J105:J110">F105/D105*100</f>
        <v>34.57777777777778</v>
      </c>
      <c r="K105" s="56">
        <f>F105-13.4</f>
        <v>2.16</v>
      </c>
      <c r="L105" s="135">
        <f>F105/13.4</f>
        <v>1.1611940298507464</v>
      </c>
      <c r="M105" s="40">
        <f>E105-липень!E105</f>
        <v>3</v>
      </c>
      <c r="N105" s="40">
        <f>F105-липень!F105</f>
        <v>0.13000000000000078</v>
      </c>
      <c r="O105" s="53">
        <f t="shared" si="35"/>
        <v>-2.869999999999999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301028.3900000001</v>
      </c>
      <c r="G107" s="50">
        <f>F107-E107</f>
        <v>-21605.699999999953</v>
      </c>
      <c r="H107" s="51">
        <f>F107/E107*100</f>
        <v>93.3033424955187</v>
      </c>
      <c r="I107" s="36">
        <f t="shared" si="34"/>
        <v>-205851.2099999999</v>
      </c>
      <c r="J107" s="36">
        <f t="shared" si="36"/>
        <v>59.38853921128412</v>
      </c>
      <c r="K107" s="36">
        <f>F107-319755.3</f>
        <v>-18726.909999999916</v>
      </c>
      <c r="L107" s="136">
        <f>F107/319755.3</f>
        <v>0.9414336212722669</v>
      </c>
      <c r="M107" s="22">
        <f>M8+M74+M105+M106</f>
        <v>42402.17999999999</v>
      </c>
      <c r="N107" s="22">
        <f>N8+N74+N105+N106</f>
        <v>24443.46000000001</v>
      </c>
      <c r="O107" s="55">
        <f t="shared" si="35"/>
        <v>-17958.719999999983</v>
      </c>
      <c r="P107" s="36">
        <f>N107/M107*100</f>
        <v>57.64670590049854</v>
      </c>
      <c r="Q107" s="36">
        <f>N107-40595</f>
        <v>-16151.53999999999</v>
      </c>
      <c r="R107" s="136">
        <f>N107/40595</f>
        <v>0.6021298189432198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239521.77000000002</v>
      </c>
      <c r="G108" s="71">
        <f>G10-G18+G96</f>
        <v>-16308.729999999992</v>
      </c>
      <c r="H108" s="72">
        <f>F108/E108*100</f>
        <v>93.62518151666826</v>
      </c>
      <c r="I108" s="52">
        <f t="shared" si="34"/>
        <v>-148691.43</v>
      </c>
      <c r="J108" s="52">
        <f t="shared" si="36"/>
        <v>61.698512569897154</v>
      </c>
      <c r="K108" s="52">
        <f>F108-243489.6</f>
        <v>-3967.829999999987</v>
      </c>
      <c r="L108" s="137">
        <f>F108/243489.6</f>
        <v>0.9837043142705069</v>
      </c>
      <c r="M108" s="71">
        <f>M10-M18+M96</f>
        <v>33854.899999999994</v>
      </c>
      <c r="N108" s="71">
        <f>N10-N18+N96</f>
        <v>21104.740000000013</v>
      </c>
      <c r="O108" s="53">
        <f t="shared" si="35"/>
        <v>-12750.159999999982</v>
      </c>
      <c r="P108" s="52">
        <f>N108/M108*100</f>
        <v>62.33880472250698</v>
      </c>
      <c r="Q108" s="52">
        <f>N108-31472.4</f>
        <v>-10367.659999999989</v>
      </c>
      <c r="R108" s="137">
        <f>N108/31472.4</f>
        <v>0.6705793012290138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61506.62000000005</v>
      </c>
      <c r="G109" s="62">
        <f>F109-E109</f>
        <v>-5296.969999999972</v>
      </c>
      <c r="H109" s="72">
        <f>F109/E109*100</f>
        <v>92.07083032513677</v>
      </c>
      <c r="I109" s="52">
        <f t="shared" si="34"/>
        <v>-57159.77999999991</v>
      </c>
      <c r="J109" s="52">
        <f t="shared" si="36"/>
        <v>51.83153782368056</v>
      </c>
      <c r="K109" s="52">
        <f>F109-76265.7</f>
        <v>-14759.079999999944</v>
      </c>
      <c r="L109" s="137">
        <f>F109/76265.7</f>
        <v>0.8064781415498717</v>
      </c>
      <c r="M109" s="71">
        <f>M107-M108</f>
        <v>8547.279999999999</v>
      </c>
      <c r="N109" s="71">
        <f>N107-N108</f>
        <v>3338.7199999999975</v>
      </c>
      <c r="O109" s="53">
        <f t="shared" si="35"/>
        <v>-5208.560000000001</v>
      </c>
      <c r="P109" s="52">
        <f>N109/M109*100</f>
        <v>39.061783397759264</v>
      </c>
      <c r="Q109" s="52">
        <f>N109-9122.6</f>
        <v>-5783.880000000003</v>
      </c>
      <c r="R109" s="137">
        <f>N109/9122.6</f>
        <v>0.36598338193058966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239521.77000000002</v>
      </c>
      <c r="G110" s="111">
        <f>F110-E110</f>
        <v>-10938.829999999987</v>
      </c>
      <c r="H110" s="72">
        <f>F110/E110*100</f>
        <v>95.63251465499964</v>
      </c>
      <c r="I110" s="81">
        <f t="shared" si="34"/>
        <v>-148691.43</v>
      </c>
      <c r="J110" s="52">
        <f t="shared" si="36"/>
        <v>61.698512569897154</v>
      </c>
      <c r="K110" s="52"/>
      <c r="L110" s="137"/>
      <c r="M110" s="72">
        <f>E110-липень!E110</f>
        <v>33854.899999999994</v>
      </c>
      <c r="N110" s="71">
        <f>N108</f>
        <v>21104.740000000013</v>
      </c>
      <c r="O110" s="63">
        <f t="shared" si="35"/>
        <v>-12750.159999999982</v>
      </c>
      <c r="P110" s="52">
        <f>N110/M110*100</f>
        <v>62.33880472250698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929.59</v>
      </c>
      <c r="G115" s="49">
        <f t="shared" si="37"/>
        <v>-1422.5099999999998</v>
      </c>
      <c r="H115" s="40">
        <f aca="true" t="shared" si="39" ref="H115:H126">F115/E115*100</f>
        <v>39.52170400918328</v>
      </c>
      <c r="I115" s="60">
        <f t="shared" si="38"/>
        <v>-2741.91</v>
      </c>
      <c r="J115" s="60">
        <f aca="true" t="shared" si="40" ref="J115:J121">F115/D115*100</f>
        <v>25.319079395342502</v>
      </c>
      <c r="K115" s="60">
        <f>F115-2927.1</f>
        <v>-1997.5099999999998</v>
      </c>
      <c r="L115" s="138">
        <f>F115/2927.1</f>
        <v>0.3175805404666735</v>
      </c>
      <c r="M115" s="40">
        <f>E115-липень!E115</f>
        <v>327.5</v>
      </c>
      <c r="N115" s="40">
        <f>F115-липень!F115</f>
        <v>116.24000000000001</v>
      </c>
      <c r="O115" s="53">
        <f aca="true" t="shared" si="41" ref="O115:O126">N115-M115</f>
        <v>-211.26</v>
      </c>
      <c r="P115" s="60">
        <f>N115/M115*100</f>
        <v>35.49312977099237</v>
      </c>
      <c r="Q115" s="60">
        <f>N115-728.3</f>
        <v>-612.06</v>
      </c>
      <c r="R115" s="138">
        <f>N115/728.3</f>
        <v>0.15960455856103256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206.82</v>
      </c>
      <c r="G116" s="49">
        <f t="shared" si="37"/>
        <v>28.319999999999993</v>
      </c>
      <c r="H116" s="40">
        <f t="shared" si="39"/>
        <v>115.8655462184874</v>
      </c>
      <c r="I116" s="60">
        <f t="shared" si="38"/>
        <v>-61.28000000000003</v>
      </c>
      <c r="J116" s="60">
        <f t="shared" si="40"/>
        <v>77.14285714285714</v>
      </c>
      <c r="K116" s="60">
        <f>F116-175.7</f>
        <v>31.120000000000005</v>
      </c>
      <c r="L116" s="138">
        <f>F116/175.7</f>
        <v>1.1771200910643143</v>
      </c>
      <c r="M116" s="40">
        <f>E116-липень!E116</f>
        <v>22</v>
      </c>
      <c r="N116" s="40">
        <f>F116-липень!F116</f>
        <v>23.47999999999999</v>
      </c>
      <c r="O116" s="53">
        <f t="shared" si="41"/>
        <v>1.4799999999999898</v>
      </c>
      <c r="P116" s="60">
        <f>N116/M116*100</f>
        <v>106.72727272727268</v>
      </c>
      <c r="Q116" s="60">
        <f>N116-21.9</f>
        <v>1.5799999999999912</v>
      </c>
      <c r="R116" s="138">
        <f>N116/21.9</f>
        <v>1.0721461187214607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1135.45</v>
      </c>
      <c r="G117" s="62">
        <f t="shared" si="37"/>
        <v>-1395.1499999999999</v>
      </c>
      <c r="H117" s="72">
        <f t="shared" si="39"/>
        <v>44.86880581680234</v>
      </c>
      <c r="I117" s="61">
        <f t="shared" si="38"/>
        <v>-2804.1499999999996</v>
      </c>
      <c r="J117" s="61">
        <f t="shared" si="40"/>
        <v>28.821453954716215</v>
      </c>
      <c r="K117" s="61">
        <f>F117-3123.4</f>
        <v>-1987.95</v>
      </c>
      <c r="L117" s="139">
        <f>F117/3123.4</f>
        <v>0.3635301274252417</v>
      </c>
      <c r="M117" s="62">
        <f>M115+M116+M114</f>
        <v>349.5</v>
      </c>
      <c r="N117" s="38">
        <f>SUM(N114:N116)</f>
        <v>139.9</v>
      </c>
      <c r="O117" s="61">
        <f t="shared" si="41"/>
        <v>-209.6</v>
      </c>
      <c r="P117" s="61">
        <f>N117/M117*100</f>
        <v>40.028612303290416</v>
      </c>
      <c r="Q117" s="61">
        <f>N117-757.4</f>
        <v>-617.5</v>
      </c>
      <c r="R117" s="139">
        <f>N117/757.4</f>
        <v>0.18471085291787695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263.02</v>
      </c>
      <c r="G119" s="49">
        <f t="shared" si="37"/>
        <v>80.51999999999998</v>
      </c>
      <c r="H119" s="40">
        <f t="shared" si="39"/>
        <v>144.1205479452055</v>
      </c>
      <c r="I119" s="60">
        <f t="shared" si="38"/>
        <v>-4.180000000000007</v>
      </c>
      <c r="J119" s="60">
        <f t="shared" si="40"/>
        <v>98.43562874251496</v>
      </c>
      <c r="K119" s="60">
        <f>F119-173.1</f>
        <v>89.91999999999999</v>
      </c>
      <c r="L119" s="138">
        <f>F119/173.1</f>
        <v>1.51946851530907</v>
      </c>
      <c r="M119" s="40">
        <f>E119-липень!E119</f>
        <v>0</v>
      </c>
      <c r="N119" s="40">
        <f>F119-липень!F119</f>
        <v>3.9499999999999886</v>
      </c>
      <c r="O119" s="53">
        <f>N119-M119</f>
        <v>3.9499999999999886</v>
      </c>
      <c r="P119" s="60" t="e">
        <f>N119/M119*100</f>
        <v>#DIV/0!</v>
      </c>
      <c r="Q119" s="60">
        <f>N119-0.4</f>
        <v>3.5499999999999887</v>
      </c>
      <c r="R119" s="138">
        <f>N119/0.4</f>
        <v>9.874999999999972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55606.55</v>
      </c>
      <c r="G120" s="49">
        <f t="shared" si="37"/>
        <v>6193.950000000004</v>
      </c>
      <c r="H120" s="40">
        <f t="shared" si="39"/>
        <v>112.53516309605243</v>
      </c>
      <c r="I120" s="53">
        <f t="shared" si="38"/>
        <v>-16369.440000000002</v>
      </c>
      <c r="J120" s="60">
        <f t="shared" si="40"/>
        <v>77.25708253543995</v>
      </c>
      <c r="K120" s="60">
        <f>F120-47624.2</f>
        <v>7982.350000000006</v>
      </c>
      <c r="L120" s="138">
        <f>F120/47624.2</f>
        <v>1.1676112144665949</v>
      </c>
      <c r="M120" s="40">
        <f>E120-липень!E120</f>
        <v>8100</v>
      </c>
      <c r="N120" s="40">
        <f>F120-липень!F120</f>
        <v>9396.82</v>
      </c>
      <c r="O120" s="53">
        <f t="shared" si="41"/>
        <v>1296.8199999999997</v>
      </c>
      <c r="P120" s="60">
        <f aca="true" t="shared" si="42" ref="P120:P125">N120/M120*100</f>
        <v>116.01012345679011</v>
      </c>
      <c r="Q120" s="60">
        <f>N120-7964.9</f>
        <v>1431.92</v>
      </c>
      <c r="R120" s="138">
        <f>N120/7964.9</f>
        <v>1.1797787793945937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1723</v>
      </c>
      <c r="F121" s="33">
        <v>1754.63</v>
      </c>
      <c r="G121" s="49">
        <f t="shared" si="37"/>
        <v>31.63000000000011</v>
      </c>
      <c r="H121" s="40">
        <f t="shared" si="39"/>
        <v>101.8357515960534</v>
      </c>
      <c r="I121" s="60">
        <f t="shared" si="38"/>
        <v>-8245.369999999999</v>
      </c>
      <c r="J121" s="60">
        <f t="shared" si="40"/>
        <v>17.546300000000002</v>
      </c>
      <c r="K121" s="60">
        <f>F121-1122.3</f>
        <v>632.3300000000002</v>
      </c>
      <c r="L121" s="138">
        <f>F121/1122.3</f>
        <v>1.563423327096142</v>
      </c>
      <c r="M121" s="40">
        <f>E121-липень!E121</f>
        <v>40</v>
      </c>
      <c r="N121" s="40">
        <f>F121-липень!F121</f>
        <v>76.5</v>
      </c>
      <c r="O121" s="53">
        <f t="shared" si="41"/>
        <v>36.5</v>
      </c>
      <c r="P121" s="60">
        <f t="shared" si="42"/>
        <v>191.25</v>
      </c>
      <c r="Q121" s="60">
        <f>N121-1.4</f>
        <v>75.1</v>
      </c>
      <c r="R121" s="138">
        <f>N121/1.4</f>
        <v>54.642857142857146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2267.32</v>
      </c>
      <c r="G122" s="49">
        <f t="shared" si="37"/>
        <v>-7346.68</v>
      </c>
      <c r="H122" s="40">
        <f t="shared" si="39"/>
        <v>23.58352402745996</v>
      </c>
      <c r="I122" s="60">
        <f t="shared" si="38"/>
        <v>-20810.68</v>
      </c>
      <c r="J122" s="60">
        <f>F122/D122*100</f>
        <v>9.82459485224023</v>
      </c>
      <c r="K122" s="60">
        <f>F122-14737.3</f>
        <v>-12469.98</v>
      </c>
      <c r="L122" s="138">
        <f>F122/14737.3</f>
        <v>0.1538490768322556</v>
      </c>
      <c r="M122" s="40">
        <f>E122-липень!E122</f>
        <v>2381.5</v>
      </c>
      <c r="N122" s="40">
        <f>F122-липень!F122</f>
        <v>31.350000000000364</v>
      </c>
      <c r="O122" s="53">
        <f t="shared" si="41"/>
        <v>-2350.1499999999996</v>
      </c>
      <c r="P122" s="60">
        <f t="shared" si="42"/>
        <v>1.3163972286374286</v>
      </c>
      <c r="Q122" s="60">
        <f>N122-560</f>
        <v>-528.6499999999996</v>
      </c>
      <c r="R122" s="138">
        <f>N122/560</f>
        <v>0.05598214285714351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764.62</v>
      </c>
      <c r="G123" s="49">
        <f t="shared" si="37"/>
        <v>-477.0100000000001</v>
      </c>
      <c r="H123" s="40">
        <f t="shared" si="39"/>
        <v>61.581952755651834</v>
      </c>
      <c r="I123" s="60">
        <f t="shared" si="38"/>
        <v>-1235.38</v>
      </c>
      <c r="J123" s="60">
        <f>F123/D123*100</f>
        <v>38.231</v>
      </c>
      <c r="K123" s="60">
        <f>F123-1640.1</f>
        <v>-875.4799999999999</v>
      </c>
      <c r="L123" s="138">
        <f>F123/1640.1</f>
        <v>0.46620328028778735</v>
      </c>
      <c r="M123" s="40">
        <f>E123-липень!E123</f>
        <v>189.59000000000015</v>
      </c>
      <c r="N123" s="40">
        <f>F123-липень!F123</f>
        <v>0.39999999999997726</v>
      </c>
      <c r="O123" s="53">
        <f t="shared" si="41"/>
        <v>-189.19000000000017</v>
      </c>
      <c r="P123" s="60">
        <f t="shared" si="42"/>
        <v>0.21098159185609838</v>
      </c>
      <c r="Q123" s="60">
        <f>N123-290.7</f>
        <v>-290.3</v>
      </c>
      <c r="R123" s="138">
        <f>N123/290.7</f>
        <v>0.0013759889920879852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62173.729999999996</v>
      </c>
      <c r="F124" s="38">
        <f>F120+F121+F122+F123+F119</f>
        <v>60656.14</v>
      </c>
      <c r="G124" s="62">
        <f t="shared" si="37"/>
        <v>-1517.5899999999965</v>
      </c>
      <c r="H124" s="72">
        <f t="shared" si="39"/>
        <v>97.55911379291544</v>
      </c>
      <c r="I124" s="61">
        <f t="shared" si="38"/>
        <v>-46665.05</v>
      </c>
      <c r="J124" s="61">
        <f>F124/D124*100</f>
        <v>56.5183259708544</v>
      </c>
      <c r="K124" s="61">
        <f>F124-65296.9</f>
        <v>-4640.760000000002</v>
      </c>
      <c r="L124" s="139">
        <f>F124/65296.9</f>
        <v>0.9289283258470157</v>
      </c>
      <c r="M124" s="62">
        <f>M120+M121+M122+M123+M119</f>
        <v>10711.09</v>
      </c>
      <c r="N124" s="62">
        <f>N120+N121+N122+N123+N119</f>
        <v>9509.02</v>
      </c>
      <c r="O124" s="61">
        <f t="shared" si="41"/>
        <v>-1202.0699999999997</v>
      </c>
      <c r="P124" s="61">
        <f t="shared" si="42"/>
        <v>88.77733265241913</v>
      </c>
      <c r="Q124" s="61">
        <f>N124-8817.5</f>
        <v>691.5200000000004</v>
      </c>
      <c r="R124" s="139">
        <f>N124/8817.5</f>
        <v>1.0784258576694075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7360.87</v>
      </c>
      <c r="G128" s="49">
        <f aca="true" t="shared" si="43" ref="G128:G135">F128-E128</f>
        <v>643.3699999999999</v>
      </c>
      <c r="H128" s="40">
        <f>F128/E128*100</f>
        <v>109.5775213993301</v>
      </c>
      <c r="I128" s="60">
        <f aca="true" t="shared" si="44" ref="I128:I135">F128-D128</f>
        <v>-1339.13</v>
      </c>
      <c r="J128" s="60">
        <f>F128/D128*100</f>
        <v>84.60770114942528</v>
      </c>
      <c r="K128" s="60">
        <f>F128-8680.2</f>
        <v>-1319.3300000000008</v>
      </c>
      <c r="L128" s="138">
        <f>F128/8680.2</f>
        <v>0.8480069583650145</v>
      </c>
      <c r="M128" s="40">
        <f>E128-липень!E128</f>
        <v>1702</v>
      </c>
      <c r="N128" s="40">
        <f>F128-липень!F128</f>
        <v>2052.7</v>
      </c>
      <c r="O128" s="53">
        <f aca="true" t="shared" si="45" ref="O128:O135">N128-M128</f>
        <v>350.6999999999998</v>
      </c>
      <c r="P128" s="60">
        <f>N128/M128*100</f>
        <v>120.60517038777907</v>
      </c>
      <c r="Q128" s="60">
        <f>N128-2359.4</f>
        <v>-306.7000000000003</v>
      </c>
      <c r="R128" s="162">
        <f>N128/2359.4</f>
        <v>0.8700093244045095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0.53</v>
      </c>
      <c r="G129" s="49">
        <f t="shared" si="43"/>
        <v>0.53</v>
      </c>
      <c r="H129" s="40"/>
      <c r="I129" s="60">
        <f t="shared" si="44"/>
        <v>0.53</v>
      </c>
      <c r="J129" s="60"/>
      <c r="K129" s="60">
        <f>F129-0.3</f>
        <v>0.23000000000000004</v>
      </c>
      <c r="L129" s="138">
        <f>F129/0.3</f>
        <v>1.7666666666666668</v>
      </c>
      <c r="M129" s="40">
        <f>E129-липень!E129</f>
        <v>0</v>
      </c>
      <c r="N129" s="40">
        <f>F129-липень!F129</f>
        <v>0.010000000000000009</v>
      </c>
      <c r="O129" s="53">
        <f t="shared" si="45"/>
        <v>0.010000000000000009</v>
      </c>
      <c r="P129" s="60"/>
      <c r="Q129" s="60">
        <f>N129-0.4</f>
        <v>-0.39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7395.049999999999</v>
      </c>
      <c r="G130" s="62">
        <f t="shared" si="43"/>
        <v>647.1899999999996</v>
      </c>
      <c r="H130" s="72">
        <f>F130/E130*100</f>
        <v>109.59104071513042</v>
      </c>
      <c r="I130" s="61">
        <f t="shared" si="44"/>
        <v>-1355.6500000000015</v>
      </c>
      <c r="J130" s="61">
        <f>F130/D130*100</f>
        <v>84.50809649513752</v>
      </c>
      <c r="K130" s="61">
        <f>F130-8800.6</f>
        <v>-1405.550000000001</v>
      </c>
      <c r="L130" s="139">
        <f>G130/8800.6</f>
        <v>0.07353930413835416</v>
      </c>
      <c r="M130" s="62">
        <f>M125+M128+M129+M127</f>
        <v>1706</v>
      </c>
      <c r="N130" s="62">
        <f>N125+N128+N129+N127</f>
        <v>2052.71</v>
      </c>
      <c r="O130" s="61">
        <f t="shared" si="45"/>
        <v>346.71000000000004</v>
      </c>
      <c r="P130" s="61">
        <f>N130/M130*100</f>
        <v>120.32297772567408</v>
      </c>
      <c r="Q130" s="61">
        <f>N130-2362.3</f>
        <v>-309.59000000000015</v>
      </c>
      <c r="R130" s="137">
        <f>N130/2362.3</f>
        <v>0.8689455191973923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71468.64</v>
      </c>
      <c r="F134" s="31">
        <f>F117+F131+F124+F130+F133+F132</f>
        <v>69209.04</v>
      </c>
      <c r="G134" s="50">
        <f t="shared" si="43"/>
        <v>-2259.600000000006</v>
      </c>
      <c r="H134" s="51">
        <f>F134/E134*100</f>
        <v>96.83833356840145</v>
      </c>
      <c r="I134" s="36">
        <f t="shared" si="44"/>
        <v>-50832.45000000001</v>
      </c>
      <c r="J134" s="36">
        <f>F134/D134*100</f>
        <v>57.65426603751752</v>
      </c>
      <c r="K134" s="36">
        <f>F134-77238.6</f>
        <v>-8029.560000000012</v>
      </c>
      <c r="L134" s="136">
        <f>F134/77238.6</f>
        <v>0.8960421343732278</v>
      </c>
      <c r="M134" s="31">
        <f>M117+M131+M124+M130+M133+M132</f>
        <v>12766.99</v>
      </c>
      <c r="N134" s="31">
        <f>N117+N131+N124+N130+N133+N132</f>
        <v>11701.630000000001</v>
      </c>
      <c r="O134" s="36">
        <f t="shared" si="45"/>
        <v>-1065.3599999999988</v>
      </c>
      <c r="P134" s="36">
        <f>N134/M134*100</f>
        <v>91.65535494270772</v>
      </c>
      <c r="Q134" s="36">
        <f>N134-11937.6</f>
        <v>-235.96999999999935</v>
      </c>
      <c r="R134" s="136">
        <f>N134/11937.6</f>
        <v>0.9802330451682081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394102.73000000004</v>
      </c>
      <c r="F135" s="31">
        <f>F107+F134</f>
        <v>370237.43000000005</v>
      </c>
      <c r="G135" s="50">
        <f t="shared" si="43"/>
        <v>-23865.29999999999</v>
      </c>
      <c r="H135" s="51">
        <f>F135/E135*100</f>
        <v>93.94439617304859</v>
      </c>
      <c r="I135" s="36">
        <f t="shared" si="44"/>
        <v>-256683.65999999992</v>
      </c>
      <c r="J135" s="36">
        <f>F135/D135*100</f>
        <v>59.05646434705205</v>
      </c>
      <c r="K135" s="36">
        <f>F135-396993.9</f>
        <v>-26756.469999999972</v>
      </c>
      <c r="L135" s="136">
        <f>F135/396993.9</f>
        <v>0.9326023145443797</v>
      </c>
      <c r="M135" s="22">
        <f>M107+M134</f>
        <v>55169.16999999999</v>
      </c>
      <c r="N135" s="22">
        <f>N107+N134</f>
        <v>36145.09000000001</v>
      </c>
      <c r="O135" s="36">
        <f t="shared" si="45"/>
        <v>-19024.07999999998</v>
      </c>
      <c r="P135" s="36">
        <f>N135/M135*100</f>
        <v>65.51682760498304</v>
      </c>
      <c r="Q135" s="36">
        <f>N135-52532.5</f>
        <v>-16387.40999999999</v>
      </c>
      <c r="R135" s="136">
        <f>N135/52532.5</f>
        <v>0.6880519678294391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6</v>
      </c>
      <c r="D137" s="4" t="s">
        <v>118</v>
      </c>
    </row>
    <row r="138" spans="2:17" ht="31.5">
      <c r="B138" s="78" t="s">
        <v>154</v>
      </c>
      <c r="C138" s="39">
        <f>IF(O107&lt;0,ABS(O107/C137),0)</f>
        <v>2993.119999999997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41871</v>
      </c>
      <c r="D139" s="39">
        <v>1788.7</v>
      </c>
      <c r="N139" s="179"/>
      <c r="O139" s="179"/>
    </row>
    <row r="140" spans="3:15" ht="15.75">
      <c r="C140" s="120">
        <v>41870</v>
      </c>
      <c r="D140" s="39">
        <v>2085.6</v>
      </c>
      <c r="F140" s="4" t="s">
        <v>166</v>
      </c>
      <c r="G140" s="175" t="s">
        <v>151</v>
      </c>
      <c r="H140" s="175"/>
      <c r="I140" s="115"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41869</v>
      </c>
      <c r="D141" s="39">
        <v>1184.5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128747.39372</v>
      </c>
      <c r="E143" s="80"/>
      <c r="F143" s="100" t="s">
        <v>147</v>
      </c>
      <c r="G143" s="175" t="s">
        <v>149</v>
      </c>
      <c r="H143" s="175"/>
      <c r="I143" s="116">
        <v>114922.17176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25423.61323999999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11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15" sqref="K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7" t="s">
        <v>254</v>
      </c>
      <c r="L4" s="168"/>
      <c r="M4" s="204"/>
      <c r="N4" s="183" t="s">
        <v>257</v>
      </c>
      <c r="O4" s="185" t="s">
        <v>136</v>
      </c>
      <c r="P4" s="185" t="s">
        <v>135</v>
      </c>
      <c r="Q4" s="167" t="s">
        <v>255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9"/>
      <c r="O139" s="179"/>
    </row>
    <row r="140" spans="3:15" ht="15.75">
      <c r="C140" s="120">
        <v>41850</v>
      </c>
      <c r="D140" s="39">
        <v>4320</v>
      </c>
      <c r="F140" s="4" t="s">
        <v>166</v>
      </c>
      <c r="G140" s="175" t="s">
        <v>151</v>
      </c>
      <c r="H140" s="175"/>
      <c r="I140" s="115">
        <f>13825221.96/1000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120856761.09/1000</f>
        <v>120856.76109</v>
      </c>
      <c r="E143" s="80"/>
      <c r="F143" s="100" t="s">
        <v>147</v>
      </c>
      <c r="G143" s="175" t="s">
        <v>149</v>
      </c>
      <c r="H143" s="175"/>
      <c r="I143" s="116">
        <f>107031539.13/1000</f>
        <v>107031.53912999999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26199804.73/1000</f>
        <v>26199.80473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7" t="s">
        <v>240</v>
      </c>
      <c r="L4" s="168"/>
      <c r="M4" s="204"/>
      <c r="N4" s="183" t="s">
        <v>247</v>
      </c>
      <c r="O4" s="185" t="s">
        <v>136</v>
      </c>
      <c r="P4" s="185" t="s">
        <v>135</v>
      </c>
      <c r="Q4" s="167" t="s">
        <v>242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7" t="s">
        <v>231</v>
      </c>
      <c r="L4" s="168"/>
      <c r="M4" s="204"/>
      <c r="N4" s="183" t="s">
        <v>236</v>
      </c>
      <c r="O4" s="185" t="s">
        <v>136</v>
      </c>
      <c r="P4" s="185" t="s">
        <v>135</v>
      </c>
      <c r="Q4" s="167" t="s">
        <v>234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7" t="s">
        <v>219</v>
      </c>
      <c r="L4" s="168"/>
      <c r="M4" s="204"/>
      <c r="N4" s="183" t="s">
        <v>227</v>
      </c>
      <c r="O4" s="185" t="s">
        <v>136</v>
      </c>
      <c r="P4" s="185" t="s">
        <v>135</v>
      </c>
      <c r="Q4" s="167" t="s">
        <v>222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25423.61323999999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7" t="s">
        <v>196</v>
      </c>
      <c r="L4" s="168"/>
      <c r="M4" s="204"/>
      <c r="N4" s="183" t="s">
        <v>213</v>
      </c>
      <c r="O4" s="185" t="s">
        <v>136</v>
      </c>
      <c r="P4" s="185" t="s">
        <v>135</v>
      </c>
      <c r="Q4" s="167" t="s">
        <v>197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191</v>
      </c>
      <c r="F4" s="213" t="s">
        <v>116</v>
      </c>
      <c r="G4" s="215" t="s">
        <v>167</v>
      </c>
      <c r="H4" s="189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83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184</v>
      </c>
      <c r="L5" s="181"/>
      <c r="M5" s="221"/>
      <c r="N5" s="184"/>
      <c r="O5" s="211"/>
      <c r="P5" s="212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91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153</v>
      </c>
      <c r="F4" s="213" t="s">
        <v>116</v>
      </c>
      <c r="G4" s="215" t="s">
        <v>175</v>
      </c>
      <c r="H4" s="189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83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177</v>
      </c>
      <c r="L5" s="181"/>
      <c r="M5" s="192"/>
      <c r="N5" s="184"/>
      <c r="O5" s="211"/>
      <c r="P5" s="212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2014-08-21T11:25:05Z</cp:lastPrinted>
  <dcterms:created xsi:type="dcterms:W3CDTF">2003-07-28T11:27:56Z</dcterms:created>
  <dcterms:modified xsi:type="dcterms:W3CDTF">2014-08-21T11:40:14Z</dcterms:modified>
  <cp:category/>
  <cp:version/>
  <cp:contentType/>
  <cp:contentStatus/>
</cp:coreProperties>
</file>